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BAF74F5A-7480-A247-8D38-648F92644805}" xr6:coauthVersionLast="47" xr6:coauthVersionMax="47" xr10:uidLastSave="{00000000-0000-0000-0000-000000000000}"/>
  <bookViews>
    <workbookView xWindow="0" yWindow="760" windowWidth="3024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E64" i="4" s="1"/>
  <c r="D60" i="4"/>
  <c r="D44" i="4"/>
  <c r="D43" i="4"/>
  <c r="D40" i="4"/>
  <c r="E47" i="4" s="1"/>
  <c r="D34" i="4"/>
  <c r="E37" i="4" s="1"/>
  <c r="E49" i="4" s="1"/>
  <c r="D24" i="4"/>
  <c r="D23" i="4"/>
  <c r="D22" i="4"/>
  <c r="E15" i="4"/>
  <c r="D14" i="4"/>
  <c r="F14" i="3"/>
  <c r="E14" i="3" s="1"/>
  <c r="E13" i="3"/>
  <c r="E12" i="3"/>
  <c r="E11" i="3"/>
  <c r="F8" i="3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D17" i="2"/>
  <c r="C17" i="2"/>
  <c r="B17" i="2"/>
  <c r="H16" i="2"/>
  <c r="G16" i="2"/>
  <c r="F16" i="2"/>
  <c r="H15" i="2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C4" i="2"/>
  <c r="D6" i="2" l="1"/>
  <c r="D7" i="2"/>
  <c r="E25" i="4"/>
  <c r="E27" i="4" s="1"/>
  <c r="D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<sst xmlns="http://schemas.openxmlformats.org/spreadsheetml/2006/main" count="73" uniqueCount="65">
  <si>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</si>
  <si>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</si>
  <si>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</si>
  <si>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</si>
  <si>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</si>
  <si>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</si>
  <si>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</si>
  <si>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</si>
  <si>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</si>
  <si>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</si>
  <si>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</si>
  <si>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</si>
  <si>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</si>
  <si>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(01.01)</t>
  </si>
  <si>
    <t xml:space="preserve">MSCI-World ESG Screened </t>
  </si>
  <si>
    <t>MSCI-Emerging Markets ESG Screened</t>
  </si>
  <si>
    <t>Girokonto</t>
  </si>
  <si>
    <t>Gesamt</t>
  </si>
  <si>
    <t>Akteindepot (31.12)</t>
  </si>
  <si>
    <t>Veränderung</t>
  </si>
  <si>
    <t>Einnahmen / Ausgaben Rechnung - Geld für die Welt e.V.</t>
  </si>
  <si>
    <t>Für das Jahr</t>
  </si>
  <si>
    <t>(01.01. bis 31.12.)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</si>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</sst>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3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2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1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11" xfId="0" applyFont="1" applyBorder="1"/>
    <xf numFmtId="0" fontId="10" fillId="0" borderId="15" xfId="0" applyFont="1" applyBorder="1"/>
    <xf numFmtId="0" fontId="6" fillId="0" borderId="16" xfId="0" applyFont="1" applyBorder="1"/>
    <xf numFmtId="0" fontId="10" fillId="0" borderId="17" xfId="0" applyFont="1" applyBorder="1"/>
    <xf numFmtId="0" fontId="10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0" fontId="10" fillId="2" borderId="18" xfId="0" applyFont="1" applyFill="1" applyBorder="1"/>
    <xf numFmtId="167" fontId="1" fillId="2" borderId="18" xfId="0" applyNumberFormat="1" applyFont="1" applyFill="1" applyBorder="1"/>
    <xf numFmtId="0" fontId="17" fillId="2" borderId="19" xfId="0" applyFont="1" applyFill="1" applyBorder="1"/>
    <xf numFmtId="0" fontId="1" fillId="2" borderId="19" xfId="0" applyFont="1" applyFill="1" applyBorder="1" applyAlignment="1">
      <alignment horizontal="left" vertical="center"/>
    </xf>
    <xf numFmtId="165" fontId="18" fillId="2" borderId="19" xfId="0" applyNumberFormat="1" applyFont="1" applyFill="1" applyBorder="1"/>
    <xf numFmtId="0" fontId="19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8" fillId="2" borderId="11" xfId="0" applyNumberFormat="1" applyFont="1" applyFill="1" applyBorder="1"/>
    <xf numFmtId="0" fontId="10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0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0" fillId="2" borderId="11" xfId="0" applyNumberFormat="1" applyFont="1" applyFill="1" applyBorder="1"/>
    <xf numFmtId="167" fontId="1" fillId="0" borderId="11" xfId="0" applyNumberFormat="1" applyFont="1" applyBorder="1"/>
    <xf numFmtId="167" fontId="20" fillId="2" borderId="18" xfId="0" applyNumberFormat="1" applyFont="1" applyFill="1" applyBorder="1"/>
    <xf numFmtId="167" fontId="20" fillId="2" borderId="19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2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/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38.5" customWidth="1"/>
    <col min="4" max="4" width="12.6640625" customWidth="1"/>
    <col min="5" max="5" width="4.1640625" customWidth="1"/>
    <col min="6" max="6" width="8.5" customWidth="1"/>
    <col min="7" max="7" width="46.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 t="e">
        <f>#REF!</f>
        <v>#REF!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31215.14</v>
      </c>
      <c r="E6" s="2"/>
      <c r="F6" s="81"/>
      <c r="G6" s="82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-23670.969999999998</v>
      </c>
      <c r="E7" s="2"/>
      <c r="F7" s="81"/>
      <c r="G7" s="82"/>
      <c r="H7" s="2"/>
      <c r="I7" s="2"/>
    </row>
    <row r="8" spans="1:9" ht="19.5" customHeight="1" x14ac:dyDescent="0.25">
      <c r="A8" s="2"/>
      <c r="B8" s="9"/>
      <c r="C8" s="5"/>
      <c r="D8" s="10">
        <f ca="1">D6+D7</f>
        <v>7544.1700000000019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3" t="s">
        <v>7</v>
      </c>
      <c r="C11" s="84"/>
      <c r="D11" s="12">
        <f ca="1">IFERROR(__xludf.DUMMYFUNCTION("SUM(QUERY(IMPORTRANGE(""11AczYCsQ0sDyNfN8X5ruefP9YvpHQgFPRpFJZPAhMDs"",""Cash!A1:L""),""Select Col6 where Col3  matches '""&amp;$C4&amp;""' and Col6 &lt; 500 and Col6 &gt; 0 and Col7 = 'Donation'""))"),18014.73)</f>
        <v>18014.73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"),44978)</f>
        <v>44978</v>
      </c>
      <c r="G11" s="14" t="str">
        <f ca="1">IFERROR(__xludf.DUMMYFUNCTION("""COMPUTED_VALUE"""),"Kauf | ISHSIV-MSCI WLD ESG S.DLA | Order no.: 258165705.001")</f>
        <v>Kauf | ISHSIV-MSCI WLD ESG S.DLA | Order no.: 258165705.001</v>
      </c>
      <c r="H11" s="12">
        <f ca="1">IFERROR(__xludf.DUMMYFUNCTION("""COMPUTED_VALUE"""),-3917.16)</f>
        <v>-3917.16</v>
      </c>
      <c r="I11" s="2"/>
    </row>
    <row r="12" spans="1:9" ht="17" x14ac:dyDescent="0.25">
      <c r="A12" s="20"/>
      <c r="B12" s="85" t="s">
        <v>8</v>
      </c>
      <c r="C12" s="82"/>
      <c r="D12" s="12">
        <f ca="1">IFERROR(__xludf.DUMMYFUNCTION("SUM(QUERY(IMPORTRANGE(""11AczYCsQ0sDyNfN8X5ruefP9YvpHQgFPRpFJZPAhMDs"",""Cash!A1:L""),""Select Col6 where Col3  matches '""&amp;$C4&amp;""' and Col6 &gt;= 500 and Col6 &lt; 5000 and Col7 = 'Donation'""))"),13200)</f>
        <v>13200</v>
      </c>
      <c r="E12" s="21"/>
      <c r="F12" s="13">
        <f ca="1">IFERROR(__xludf.DUMMYFUNCTION("""COMPUTED_VALUE"""),44978)</f>
        <v>44978</v>
      </c>
      <c r="G12" s="14" t="str">
        <f ca="1">IFERROR(__xludf.DUMMYFUNCTION("""COMPUTED_VALUE"""),"Kauf | ISHSIV-MSCI EM IMI ES.DLA | Order no.: 258165952.001")</f>
        <v>Kauf | ISHSIV-MSCI EM IMI ES.DLA | Order no.: 258165952.001</v>
      </c>
      <c r="H12" s="12">
        <f ca="1">IFERROR(__xludf.DUMMYFUNCTION("""COMPUTED_VALUE"""),-2303.94)</f>
        <v>-2303.94</v>
      </c>
      <c r="I12" s="2"/>
    </row>
    <row r="13" spans="1:9" ht="17" x14ac:dyDescent="0.25">
      <c r="A13" s="2"/>
      <c r="B13" s="85" t="s">
        <v>9</v>
      </c>
      <c r="C13" s="82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asc""))"),0)</f>
        <v>0</v>
      </c>
      <c r="E13" s="22"/>
      <c r="F13" s="13">
        <f ca="1">IFERROR(__xludf.DUMMYFUNCTION("""COMPUTED_VALUE"""),44978)</f>
        <v>44978</v>
      </c>
      <c r="G13" s="14" t="str">
        <f ca="1">IFERROR(__xludf.DUMMYFUNCTION("""COMPUTED_VALUE"""),"Transaktionsgebühren | ISHSIV-MSCI WLD ESG S.DLA | Order no.: 258165705.001")</f>
        <v>Transaktionsgebühren | ISHSIV-MSCI WLD ESG S.DLA | Order no.: 258165705.001</v>
      </c>
      <c r="H13" s="12">
        <f ca="1">IFERROR(__xludf.DUMMYFUNCTION("""COMPUTED_VALUE"""),-15.6899999999999)</f>
        <v>-15.6899999999999</v>
      </c>
      <c r="I13" s="2"/>
    </row>
    <row r="14" spans="1:9" ht="17" x14ac:dyDescent="0.25">
      <c r="A14" s="2"/>
      <c r="B14" s="85" t="s">
        <v>10</v>
      </c>
      <c r="C14" s="82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asc""))"),0)</f>
        <v>0</v>
      </c>
      <c r="E14" s="22"/>
      <c r="F14" s="13">
        <f ca="1">IFERROR(__xludf.DUMMYFUNCTION("""COMPUTED_VALUE"""),44978)</f>
        <v>44978</v>
      </c>
      <c r="G14" s="14" t="str">
        <f ca="1">IFERROR(__xludf.DUMMYFUNCTION("""COMPUTED_VALUE"""),"Transaktionsgebühren | ISHSIV-MSCI EM IMI ES.DLA | Order no.: 258165952.001")</f>
        <v>Transaktionsgebühren | ISHSIV-MSCI EM IMI ES.DLA | Order no.: 258165952.001</v>
      </c>
      <c r="H14" s="12">
        <f ca="1">IFERROR(__xludf.DUMMYFUNCTION("""COMPUTED_VALUE"""),-11.66)</f>
        <v>-11.66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IFERROR(__xludf.DUMMYFUNCTION("""COMPUTED_VALUE"""),45124)</f>
        <v>45124</v>
      </c>
      <c r="G15" s="14" t="str">
        <f ca="1">IFERROR(__xludf.DUMMYFUNCTION("""COMPUTED_VALUE"""),"Kauf | ISHSIV-MSCI WLD ESG S.DLA | Order no.: 270415193")</f>
        <v>Kauf | ISHSIV-MSCI WLD ESG S.DLA | Order no.: 270415193</v>
      </c>
      <c r="H15" s="12">
        <f ca="1">IFERROR(__xludf.DUMMYFUNCTION("""COMPUTED_VALUE"""),-4305.63)</f>
        <v>-4305.63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IFERROR(__xludf.DUMMYFUNCTION("""COMPUTED_VALUE"""),45124)</f>
        <v>45124</v>
      </c>
      <c r="G16" s="14" t="str">
        <f ca="1">IFERROR(__xludf.DUMMYFUNCTION("""COMPUTED_VALUE"""),"Kauf | ISHSIV-MSCI EM IMI ES.DLA | Order no.: 270414178")</f>
        <v>Kauf | ISHSIV-MSCI EM IMI ES.DLA | Order no.: 270414178</v>
      </c>
      <c r="H16" s="12">
        <f ca="1">IFERROR(__xludf.DUMMYFUNCTION("""COMPUTED_VALUE"""),-4597.91)</f>
        <v>-4597.91</v>
      </c>
      <c r="I16" s="25"/>
    </row>
    <row r="17" spans="1:9" ht="15" customHeight="1" x14ac:dyDescent="0.25">
      <c r="A17" s="2"/>
      <c r="B17" s="13">
        <f ca="1">IFERROR(__xludf.DUMMYFUNCTION("QUERY(IMPORTRANGE(""11AczYCsQ0sDyNfN8X5ruefP9YvpHQgFPRpFJZPAhMDs"",""Cash!A2:L""),""Select Col1, Col12, Col6 where Col3  matches '""&amp;$C4&amp;""' and Col7 != 'Donation' and Col6 &gt; 0 order by Col1 asc"")
"),45156)</f>
        <v>45156</v>
      </c>
      <c r="C17" s="14" t="str">
        <f ca="1">IFERROR(__xludf.DUMMYFUNCTION("""COMPUTED_VALUE"""),"Korrekturzahlung von PayPal")</f>
        <v>Korrekturzahlung von PayPal</v>
      </c>
      <c r="D17" s="12">
        <f ca="1">IFERROR(__xludf.DUMMYFUNCTION("""COMPUTED_VALUE"""),0.41)</f>
        <v>0.41</v>
      </c>
      <c r="E17" s="22"/>
      <c r="F17" s="13">
        <f ca="1">IFERROR(__xludf.DUMMYFUNCTION("""COMPUTED_VALUE"""),45124)</f>
        <v>45124</v>
      </c>
      <c r="G17" s="14" t="str">
        <f ca="1">IFERROR(__xludf.DUMMYFUNCTION("""COMPUTED_VALUE"""),"Transaktionsgebühren | ISHSIV-MSCI WLD ESG S.DLA | Order no.: 270415193")</f>
        <v>Transaktionsgebühren | ISHSIV-MSCI WLD ESG S.DLA | Order no.: 270415193</v>
      </c>
      <c r="H17" s="12">
        <f ca="1">IFERROR(__xludf.DUMMYFUNCTION("""COMPUTED_VALUE"""),-16.66)</f>
        <v>-16.66</v>
      </c>
      <c r="I17" s="25"/>
    </row>
    <row r="18" spans="1:9" ht="15" customHeight="1" x14ac:dyDescent="0.25">
      <c r="A18" s="2"/>
      <c r="B18" s="13"/>
      <c r="C18" s="14"/>
      <c r="D18" s="12"/>
      <c r="E18" s="22"/>
      <c r="F18" s="13">
        <f ca="1">IFERROR(__xludf.DUMMYFUNCTION("""COMPUTED_VALUE"""),45124)</f>
        <v>45124</v>
      </c>
      <c r="G18" s="14" t="str">
        <f ca="1">IFERROR(__xludf.DUMMYFUNCTION("""COMPUTED_VALUE"""),"Transaktionsgebühren | ISHSIV-MSCI EM IMI ES.DLA | Order no.: 270414178")</f>
        <v>Transaktionsgebühren | ISHSIV-MSCI EM IMI ES.DLA | Order no.: 270414178</v>
      </c>
      <c r="H18" s="12">
        <f ca="1">IFERROR(__xludf.DUMMYFUNCTION("""COMPUTED_VALUE"""),-17.39)</f>
        <v>-17.39</v>
      </c>
      <c r="I18" s="25"/>
    </row>
    <row r="19" spans="1:9" ht="16.5" customHeight="1" x14ac:dyDescent="0.25">
      <c r="A19" s="2"/>
      <c r="B19" s="13"/>
      <c r="C19" s="14"/>
      <c r="D19" s="12"/>
      <c r="E19" s="22"/>
      <c r="F19" s="13">
        <f ca="1">IFERROR(__xludf.DUMMYFUNCTION("""COMPUTED_VALUE"""),45196)</f>
        <v>45196</v>
      </c>
      <c r="G19" s="14" t="str">
        <f ca="1">IFERROR(__xludf.DUMMYFUNCTION("""COMPUTED_VALUE"""),"Kauf | ISHSIV-MSCI WLD ESG S.DLA | Order no.: 276027582")</f>
        <v>Kauf | ISHSIV-MSCI WLD ESG S.DLA | Order no.: 276027582</v>
      </c>
      <c r="H19" s="12">
        <f ca="1">IFERROR(__xludf.DUMMYFUNCTION("""COMPUTED_VALUE"""),-3080.36)</f>
        <v>-3080.36</v>
      </c>
      <c r="I19" s="25"/>
    </row>
    <row r="20" spans="1:9" ht="16.5" customHeight="1" x14ac:dyDescent="0.25">
      <c r="A20" s="2"/>
      <c r="B20" s="13"/>
      <c r="C20" s="14"/>
      <c r="D20" s="12"/>
      <c r="E20" s="22"/>
      <c r="F20" s="13">
        <f ca="1">IFERROR(__xludf.DUMMYFUNCTION("""COMPUTED_VALUE"""),45196)</f>
        <v>45196</v>
      </c>
      <c r="G20" s="14" t="str">
        <f ca="1">IFERROR(__xludf.DUMMYFUNCTION("""COMPUTED_VALUE"""),"Kauf | ISHSIV-MSCI EM IMI ES.DLA | Order no.: 276027576")</f>
        <v>Kauf | ISHSIV-MSCI EM IMI ES.DLA | Order no.: 276027576</v>
      </c>
      <c r="H20" s="12">
        <f ca="1">IFERROR(__xludf.DUMMYFUNCTION("""COMPUTED_VALUE"""),-1959.97)</f>
        <v>-1959.97</v>
      </c>
      <c r="I20" s="25"/>
    </row>
    <row r="21" spans="1:9" ht="16.5" customHeight="1" x14ac:dyDescent="0.25">
      <c r="A21" s="2"/>
      <c r="B21" s="13"/>
      <c r="C21" s="14"/>
      <c r="D21" s="12"/>
      <c r="E21" s="22"/>
      <c r="F21" s="13">
        <f ca="1">IFERROR(__xludf.DUMMYFUNCTION("""COMPUTED_VALUE"""),45196)</f>
        <v>45196</v>
      </c>
      <c r="G21" s="14" t="str">
        <f ca="1">IFERROR(__xludf.DUMMYFUNCTION("""COMPUTED_VALUE"""),"Transaktionsgebühren | ISHSIV-MSCI WLD ESG S.DLA | Order no.: 276027582")</f>
        <v>Transaktionsgebühren | ISHSIV-MSCI WLD ESG S.DLA | Order no.: 276027582</v>
      </c>
      <c r="H21" s="12">
        <f ca="1">IFERROR(__xludf.DUMMYFUNCTION("""COMPUTED_VALUE"""),-13.5999999999999)</f>
        <v>-13.5999999999999</v>
      </c>
      <c r="I21" s="25"/>
    </row>
    <row r="22" spans="1:9" ht="17" x14ac:dyDescent="0.25">
      <c r="A22" s="2"/>
      <c r="B22" s="13"/>
      <c r="C22" s="14"/>
      <c r="D22" s="12"/>
      <c r="E22" s="22"/>
      <c r="F22" s="13">
        <f ca="1">IFERROR(__xludf.DUMMYFUNCTION("""COMPUTED_VALUE"""),45196)</f>
        <v>45196</v>
      </c>
      <c r="G22" s="14" t="str">
        <f ca="1">IFERROR(__xludf.DUMMYFUNCTION("""COMPUTED_VALUE"""),"Transaktionsgebühren | ISHSIV-MSCI EM IMI ES.DLA | Order no.: 276027576")</f>
        <v>Transaktionsgebühren | ISHSIV-MSCI EM IMI ES.DLA | Order no.: 276027576</v>
      </c>
      <c r="H22" s="12">
        <f ca="1">IFERROR(__xludf.DUMMYFUNCTION("""COMPUTED_VALUE"""),-10.7999999999999)</f>
        <v>-10.799999999999899</v>
      </c>
      <c r="I22" s="25"/>
    </row>
    <row r="23" spans="1:9" ht="17" x14ac:dyDescent="0.25">
      <c r="A23" s="2"/>
      <c r="B23" s="13"/>
      <c r="C23" s="14"/>
      <c r="D23" s="12"/>
      <c r="E23" s="22"/>
      <c r="F23" s="13">
        <f ca="1">IFERROR(__xludf.DUMMYFUNCTION("""COMPUTED_VALUE"""),45201)</f>
        <v>45201</v>
      </c>
      <c r="G23" s="14" t="str">
        <f ca="1">IFERROR(__xludf.DUMMYFUNCTION("""COMPUTED_VALUE"""),"Rechnung Webhosting Netcup (ReNr.: 3167477)")</f>
        <v>Rechnung Webhosting Netcup (ReNr.: 3167477)</v>
      </c>
      <c r="H23" s="12">
        <f ca="1">IFERROR(__xludf.DUMMYFUNCTION("""COMPUTED_VALUE"""),-18)</f>
        <v>-18</v>
      </c>
      <c r="I23" s="25"/>
    </row>
    <row r="24" spans="1:9" ht="17" x14ac:dyDescent="0.25">
      <c r="A24" s="2"/>
      <c r="B24" s="13"/>
      <c r="C24" s="14"/>
      <c r="D24" s="12"/>
      <c r="E24" s="22"/>
      <c r="F24" s="13">
        <f ca="1">IFERROR(__xludf.DUMMYFUNCTION("""COMPUTED_VALUE"""),45259)</f>
        <v>45259</v>
      </c>
      <c r="G24" s="14" t="str">
        <f ca="1">IFERROR(__xludf.DUMMYFUNCTION("""COMPUTED_VALUE"""),"Rechnung Webhosting Netcup (ReNr.: 3251527)")</f>
        <v>Rechnung Webhosting Netcup (ReNr.: 3251527)</v>
      </c>
      <c r="H24" s="12">
        <f ca="1">IFERROR(__xludf.DUMMYFUNCTION("""COMPUTED_VALUE"""),-34.99)</f>
        <v>-34.99</v>
      </c>
      <c r="I24" s="25"/>
    </row>
    <row r="25" spans="1:9" ht="17" x14ac:dyDescent="0.25">
      <c r="A25" s="2"/>
      <c r="B25" s="13"/>
      <c r="C25" s="14"/>
      <c r="D25" s="12"/>
      <c r="E25" s="22"/>
      <c r="F25" s="13">
        <f ca="1">IFERROR(__xludf.DUMMYFUNCTION("""COMPUTED_VALUE"""),45273)</f>
        <v>45273</v>
      </c>
      <c r="G25" s="14" t="str">
        <f ca="1">IFERROR(__xludf.DUMMYFUNCTION("""COMPUTED_VALUE"""),"Spende-2023 Malaria Consortium")</f>
        <v>Spende-2023 Malaria Consortium</v>
      </c>
      <c r="H25" s="12">
        <f ca="1">IFERROR(__xludf.DUMMYFUNCTION("""COMPUTED_VALUE"""),-1099)</f>
        <v>-1099</v>
      </c>
      <c r="I25" s="25"/>
    </row>
    <row r="26" spans="1:9" ht="17" x14ac:dyDescent="0.25">
      <c r="A26" s="2"/>
      <c r="B26" s="13"/>
      <c r="C26" s="14"/>
      <c r="D26" s="12"/>
      <c r="E26" s="22"/>
      <c r="F26" s="13">
        <f ca="1">IFERROR(__xludf.DUMMYFUNCTION("""COMPUTED_VALUE"""),45273)</f>
        <v>45273</v>
      </c>
      <c r="G26" s="14" t="str">
        <f ca="1">IFERROR(__xludf.DUMMYFUNCTION("""COMPUTED_VALUE"""),"Spende-2023 Malaria GiveDirectly")</f>
        <v>Spende-2023 Malaria GiveDirectly</v>
      </c>
      <c r="H26" s="12">
        <f ca="1">IFERROR(__xludf.DUMMYFUNCTION("""COMPUTED_VALUE"""),-1099)</f>
        <v>-1099</v>
      </c>
      <c r="I26" s="25"/>
    </row>
    <row r="27" spans="1:9" ht="17" x14ac:dyDescent="0.25">
      <c r="A27" s="2"/>
      <c r="B27" s="13"/>
      <c r="C27" s="14"/>
      <c r="D27" s="12"/>
      <c r="E27" s="22"/>
      <c r="F27" s="13">
        <f ca="1">IFERROR(__xludf.DUMMYFUNCTION("""COMPUTED_VALUE"""),45273)</f>
        <v>45273</v>
      </c>
      <c r="G27" s="14" t="str">
        <f ca="1">IFERROR(__xludf.DUMMYFUNCTION("""COMPUTED_VALUE"""),"Spende-2023 Malaria Deworm The World Initiative")</f>
        <v>Spende-2023 Malaria Deworm The World Initiative</v>
      </c>
      <c r="H27" s="12">
        <f ca="1">IFERROR(__xludf.DUMMYFUNCTION("""COMPUTED_VALUE"""),-1099)</f>
        <v>-1099</v>
      </c>
      <c r="I27" s="25"/>
    </row>
    <row r="28" spans="1:9" ht="17" x14ac:dyDescent="0.25">
      <c r="A28" s="2"/>
      <c r="B28" s="13"/>
      <c r="C28" s="14"/>
      <c r="D28" s="12"/>
      <c r="E28" s="22"/>
      <c r="F28" s="13">
        <f ca="1">IFERROR(__xludf.DUMMYFUNCTION("""COMPUTED_VALUE"""),45282)</f>
        <v>45282</v>
      </c>
      <c r="G28" s="14" t="str">
        <f ca="1">IFERROR(__xludf.DUMMYFUNCTION("""COMPUTED_VALUE"""),"Legal-Entity-Identifier (LEI)")</f>
        <v>Legal-Entity-Identifier (LEI)</v>
      </c>
      <c r="H28" s="12">
        <f ca="1">IFERROR(__xludf.DUMMYFUNCTION("""COMPUTED_VALUE"""),-70.21)</f>
        <v>-70.209999999999994</v>
      </c>
      <c r="I28" s="25"/>
    </row>
    <row r="29" spans="1:9" ht="17" x14ac:dyDescent="0.25">
      <c r="A29" s="2"/>
      <c r="B29" s="13"/>
      <c r="C29" s="14"/>
      <c r="D29" s="12"/>
      <c r="E29" s="22"/>
      <c r="F29" s="13"/>
      <c r="G29" s="14"/>
      <c r="H29" s="12"/>
      <c r="I29" s="25"/>
    </row>
    <row r="30" spans="1:9" ht="17" x14ac:dyDescent="0.25">
      <c r="A30" s="2"/>
      <c r="B30" s="13"/>
      <c r="C30" s="14"/>
      <c r="D30" s="12"/>
      <c r="E30" s="17"/>
      <c r="F30" s="13"/>
      <c r="G30" s="14"/>
      <c r="H30" s="12"/>
      <c r="I30" s="26"/>
    </row>
    <row r="31" spans="1:9" ht="17" x14ac:dyDescent="0.25">
      <c r="A31" s="2"/>
      <c r="B31" s="13"/>
      <c r="C31" s="14"/>
      <c r="D31" s="12"/>
      <c r="E31" s="17"/>
      <c r="F31" s="13"/>
      <c r="G31" s="14"/>
      <c r="H31" s="12"/>
      <c r="I31" s="2"/>
    </row>
    <row r="32" spans="1:9" ht="17" x14ac:dyDescent="0.25">
      <c r="A32" s="2"/>
      <c r="B32" s="13"/>
      <c r="C32" s="14"/>
      <c r="D32" s="12"/>
      <c r="E32" s="17"/>
      <c r="F32" s="13"/>
      <c r="G32" s="14"/>
      <c r="H32" s="12"/>
      <c r="I32" s="2"/>
    </row>
    <row r="33" spans="1:9" ht="17" x14ac:dyDescent="0.25">
      <c r="A33" s="2"/>
      <c r="B33" s="13"/>
      <c r="C33" s="14"/>
      <c r="D33" s="12"/>
      <c r="E33" s="17"/>
      <c r="F33" s="13"/>
      <c r="G33" s="14"/>
      <c r="H33" s="12"/>
      <c r="I33" s="2"/>
    </row>
    <row r="34" spans="1:9" ht="17" x14ac:dyDescent="0.25">
      <c r="A34" s="2"/>
      <c r="B34" s="13"/>
      <c r="C34" s="14"/>
      <c r="D34" s="12"/>
      <c r="E34" s="17"/>
      <c r="F34" s="13"/>
      <c r="G34" s="14"/>
      <c r="H34" s="12"/>
      <c r="I34" s="2"/>
    </row>
    <row r="35" spans="1:9" ht="17" x14ac:dyDescent="0.25">
      <c r="A35" s="2"/>
      <c r="B35" s="13"/>
      <c r="C35" s="14"/>
      <c r="D35" s="12"/>
      <c r="E35" s="17"/>
      <c r="F35" s="13"/>
      <c r="G35" s="14"/>
      <c r="H35" s="12"/>
      <c r="I35" s="2"/>
    </row>
    <row r="36" spans="1:9" ht="17" x14ac:dyDescent="0.25">
      <c r="A36" s="2"/>
      <c r="B36" s="13"/>
      <c r="C36" s="14"/>
      <c r="D36" s="12"/>
      <c r="E36" s="17"/>
      <c r="F36" s="13"/>
      <c r="G36" s="14"/>
      <c r="H36" s="12"/>
      <c r="I36" s="2"/>
    </row>
    <row r="37" spans="1:9" ht="17" x14ac:dyDescent="0.25">
      <c r="A37" s="2"/>
      <c r="B37" s="13"/>
      <c r="C37" s="14"/>
      <c r="D37" s="12"/>
      <c r="E37" s="17"/>
      <c r="F37" s="13"/>
      <c r="G37" s="14"/>
      <c r="H37" s="12"/>
      <c r="I37" s="2"/>
    </row>
    <row r="38" spans="1:9" ht="17" x14ac:dyDescent="0.25">
      <c r="A38" s="2"/>
      <c r="B38" s="13"/>
      <c r="C38" s="14"/>
      <c r="D38" s="12"/>
      <c r="E38" s="17"/>
      <c r="F38" s="13"/>
      <c r="G38" s="14"/>
      <c r="H38" s="12"/>
      <c r="I38" s="2"/>
    </row>
    <row r="39" spans="1:9" ht="17" x14ac:dyDescent="0.25">
      <c r="A39" s="2"/>
      <c r="B39" s="13"/>
      <c r="C39" s="14"/>
      <c r="D39" s="12"/>
      <c r="E39" s="17"/>
      <c r="F39" s="13"/>
      <c r="G39" s="14"/>
      <c r="H39" s="12"/>
      <c r="I39" s="2"/>
    </row>
    <row r="40" spans="1:9" ht="17" x14ac:dyDescent="0.25">
      <c r="A40" s="2"/>
      <c r="B40" s="13"/>
      <c r="C40" s="14"/>
      <c r="D40" s="12"/>
      <c r="E40" s="17"/>
      <c r="F40" s="13"/>
      <c r="G40" s="14"/>
      <c r="H40" s="12"/>
      <c r="I40" s="2"/>
    </row>
    <row r="41" spans="1:9" ht="17" x14ac:dyDescent="0.25">
      <c r="A41" s="2"/>
      <c r="B41" s="13"/>
      <c r="C41" s="14"/>
      <c r="D41" s="12"/>
      <c r="E41" s="17"/>
      <c r="F41" s="13"/>
      <c r="G41" s="14"/>
      <c r="H41" s="12"/>
      <c r="I41" s="2"/>
    </row>
    <row r="42" spans="1:9" ht="17" x14ac:dyDescent="0.25">
      <c r="A42" s="2"/>
      <c r="B42" s="13"/>
      <c r="C42" s="14"/>
      <c r="D42" s="12"/>
      <c r="E42" s="17"/>
      <c r="F42" s="13"/>
      <c r="G42" s="14"/>
      <c r="H42" s="12"/>
      <c r="I42" s="2"/>
    </row>
    <row r="43" spans="1:9" ht="17" x14ac:dyDescent="0.25">
      <c r="A43" s="2"/>
      <c r="B43" s="13"/>
      <c r="C43" s="14"/>
      <c r="D43" s="12"/>
      <c r="E43" s="17"/>
      <c r="F43" s="13"/>
      <c r="G43" s="14"/>
      <c r="H43" s="12"/>
      <c r="I43" s="2"/>
    </row>
    <row r="44" spans="1:9" ht="17" x14ac:dyDescent="0.25">
      <c r="A44" s="2"/>
      <c r="B44" s="13"/>
      <c r="C44" s="14"/>
      <c r="D44" s="12"/>
      <c r="E44" s="17"/>
      <c r="F44" s="13"/>
      <c r="G44" s="14"/>
      <c r="H44" s="12"/>
      <c r="I44" s="2"/>
    </row>
    <row r="45" spans="1:9" ht="17" x14ac:dyDescent="0.25">
      <c r="A45" s="2"/>
      <c r="B45" s="13"/>
      <c r="C45" s="14"/>
      <c r="D45" s="12"/>
      <c r="E45" s="17"/>
      <c r="F45" s="13"/>
      <c r="G45" s="14"/>
      <c r="H45" s="12"/>
      <c r="I45" s="2"/>
    </row>
    <row r="46" spans="1:9" ht="17" x14ac:dyDescent="0.25">
      <c r="A46" s="2"/>
      <c r="B46" s="13"/>
      <c r="C46" s="14"/>
      <c r="D46" s="12"/>
      <c r="E46" s="17"/>
      <c r="F46" s="13"/>
      <c r="G46" s="14"/>
      <c r="H46" s="12"/>
      <c r="I46" s="2"/>
    </row>
    <row r="47" spans="1:9" ht="17" x14ac:dyDescent="0.25">
      <c r="A47" s="2"/>
      <c r="B47" s="13"/>
      <c r="C47" s="14"/>
      <c r="D47" s="12"/>
      <c r="E47" s="17"/>
      <c r="F47" s="13"/>
      <c r="G47" s="14"/>
      <c r="H47" s="12"/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  <pageSetUpPr fitToPage="1"/>
  </sheetPr>
  <dimension ref="A1:G16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6" t="s">
        <v>12</v>
      </c>
      <c r="C2" s="87"/>
      <c r="D2" s="87"/>
      <c r="E2" s="87"/>
      <c r="F2" s="88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2">
        <v>97613.88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2">
        <v>41542.74</v>
      </c>
      <c r="G6" s="35"/>
    </row>
    <row r="7" spans="1:7" ht="17.25" customHeight="1" x14ac:dyDescent="0.3">
      <c r="A7" s="35"/>
      <c r="B7" s="44" t="s">
        <v>16</v>
      </c>
      <c r="C7" s="44"/>
      <c r="D7" s="45"/>
      <c r="E7" s="45"/>
      <c r="F7" s="45">
        <v>4190.92</v>
      </c>
      <c r="G7" s="35"/>
    </row>
    <row r="8" spans="1:7" ht="17.25" customHeight="1" x14ac:dyDescent="0.3">
      <c r="A8" s="35"/>
      <c r="B8" s="46" t="s">
        <v>17</v>
      </c>
      <c r="C8" s="47"/>
      <c r="D8" s="48"/>
      <c r="E8" s="48"/>
      <c r="F8" s="48">
        <f>SUM(F5:F7)</f>
        <v>143347.54</v>
      </c>
      <c r="G8" s="35"/>
    </row>
    <row r="9" spans="1:7" ht="17.25" customHeight="1" x14ac:dyDescent="0.3">
      <c r="A9" s="35"/>
      <c r="B9" s="49"/>
      <c r="C9" s="50"/>
      <c r="D9" s="51"/>
      <c r="E9" s="51"/>
      <c r="F9" s="51"/>
      <c r="G9" s="35"/>
    </row>
    <row r="10" spans="1:7" ht="17.25" customHeight="1" x14ac:dyDescent="0.3">
      <c r="A10" s="35"/>
      <c r="B10" s="52" t="s">
        <v>18</v>
      </c>
      <c r="D10" s="53"/>
      <c r="E10" s="54" t="s">
        <v>19</v>
      </c>
      <c r="F10" s="55"/>
      <c r="G10" s="35"/>
    </row>
    <row r="11" spans="1:7" ht="17.25" customHeight="1" x14ac:dyDescent="0.3">
      <c r="A11" s="35"/>
      <c r="B11" s="42"/>
      <c r="C11" s="43" t="s">
        <v>14</v>
      </c>
      <c r="D11" s="56"/>
      <c r="E11" s="56">
        <f t="shared" ref="E11:E14" si="0">F11-F5</f>
        <v>31684.099999999991</v>
      </c>
      <c r="F11" s="57">
        <v>129297.98</v>
      </c>
      <c r="G11" s="35"/>
    </row>
    <row r="12" spans="1:7" ht="17.25" customHeight="1" x14ac:dyDescent="0.3">
      <c r="A12" s="35"/>
      <c r="B12" s="42"/>
      <c r="C12" s="43" t="s">
        <v>15</v>
      </c>
      <c r="D12" s="56"/>
      <c r="E12" s="56">
        <f t="shared" si="0"/>
        <v>12125.950000000004</v>
      </c>
      <c r="F12" s="57">
        <v>53668.69</v>
      </c>
      <c r="G12" s="35"/>
    </row>
    <row r="13" spans="1:7" ht="17.25" customHeight="1" x14ac:dyDescent="0.3">
      <c r="A13" s="35"/>
      <c r="B13" s="52" t="s">
        <v>16</v>
      </c>
      <c r="C13" s="52"/>
      <c r="D13" s="58"/>
      <c r="E13" s="56">
        <f t="shared" si="0"/>
        <v>7124.17</v>
      </c>
      <c r="F13" s="57">
        <v>11315.09</v>
      </c>
      <c r="G13" s="35"/>
    </row>
    <row r="14" spans="1:7" ht="17.25" customHeight="1" x14ac:dyDescent="0.3">
      <c r="A14" s="35"/>
      <c r="B14" s="46" t="s">
        <v>17</v>
      </c>
      <c r="C14" s="47"/>
      <c r="D14" s="48"/>
      <c r="E14" s="59">
        <f t="shared" si="0"/>
        <v>50934.219999999972</v>
      </c>
      <c r="F14" s="48">
        <f>SUM(F11:F13)</f>
        <v>194281.75999999998</v>
      </c>
      <c r="G14" s="35"/>
    </row>
    <row r="15" spans="1:7" ht="19" x14ac:dyDescent="0.3">
      <c r="A15" s="35"/>
      <c r="B15" s="35"/>
      <c r="C15" s="35"/>
      <c r="D15" s="35"/>
      <c r="E15" s="35"/>
      <c r="F15" s="35"/>
      <c r="G15" s="35"/>
    </row>
    <row r="16" spans="1:7" ht="19" x14ac:dyDescent="0.3">
      <c r="A16" s="35"/>
      <c r="B16" s="35"/>
      <c r="C16" s="35"/>
      <c r="D16" s="35"/>
      <c r="E16" s="35"/>
      <c r="F16" s="35"/>
      <c r="G16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5"/>
      <c r="B1" s="55"/>
      <c r="C1" s="55"/>
      <c r="D1" s="55"/>
      <c r="E1" s="55"/>
      <c r="F1" s="55"/>
    </row>
    <row r="2" spans="1:6" ht="21" customHeight="1" x14ac:dyDescent="0.3">
      <c r="A2" s="55"/>
      <c r="B2" s="60" t="s">
        <v>20</v>
      </c>
      <c r="C2" s="55"/>
      <c r="D2" s="55"/>
      <c r="E2" s="55"/>
      <c r="F2" s="55"/>
    </row>
    <row r="3" spans="1:6" ht="17" x14ac:dyDescent="0.25">
      <c r="A3" s="61"/>
      <c r="B3" s="61"/>
      <c r="C3" s="61"/>
      <c r="D3" s="61"/>
      <c r="E3" s="61"/>
      <c r="F3" s="61"/>
    </row>
    <row r="4" spans="1:6" ht="17" x14ac:dyDescent="0.25">
      <c r="A4" s="61"/>
      <c r="B4" s="61" t="s">
        <v>21</v>
      </c>
      <c r="C4" s="61"/>
      <c r="D4" s="61"/>
      <c r="E4" s="61"/>
      <c r="F4" s="61"/>
    </row>
    <row r="5" spans="1:6" ht="17" x14ac:dyDescent="0.25">
      <c r="A5" s="61"/>
      <c r="B5" s="62">
        <v>2023</v>
      </c>
      <c r="C5" s="61" t="s">
        <v>22</v>
      </c>
      <c r="D5" s="61"/>
      <c r="E5" s="61"/>
      <c r="F5" s="61"/>
    </row>
    <row r="6" spans="1:6" ht="18" customHeight="1" x14ac:dyDescent="0.3">
      <c r="A6" s="55"/>
      <c r="B6" s="63"/>
      <c r="C6" s="64"/>
      <c r="D6" s="65"/>
      <c r="E6" s="66"/>
      <c r="F6" s="63"/>
    </row>
    <row r="7" spans="1:6" ht="18" customHeight="1" x14ac:dyDescent="0.3">
      <c r="A7" s="55"/>
      <c r="B7" s="63"/>
      <c r="C7" s="64"/>
      <c r="D7" s="65"/>
      <c r="E7" s="66"/>
      <c r="F7" s="63"/>
    </row>
    <row r="8" spans="1:6" ht="18" customHeight="1" x14ac:dyDescent="0.3">
      <c r="A8" s="55"/>
      <c r="B8" s="67" t="s">
        <v>23</v>
      </c>
      <c r="C8" s="64"/>
      <c r="D8" s="65"/>
      <c r="E8" s="66"/>
      <c r="F8" s="63"/>
    </row>
    <row r="9" spans="1:6" ht="18" customHeight="1" x14ac:dyDescent="0.3">
      <c r="A9" s="55"/>
      <c r="B9" s="63"/>
      <c r="C9" s="64"/>
      <c r="D9" s="65"/>
      <c r="E9" s="66"/>
      <c r="F9" s="63"/>
    </row>
    <row r="10" spans="1:6" ht="18" customHeight="1" x14ac:dyDescent="0.25">
      <c r="A10" s="61"/>
      <c r="B10" s="68" t="s">
        <v>24</v>
      </c>
      <c r="C10" s="69"/>
      <c r="D10" s="70"/>
      <c r="E10" s="66"/>
      <c r="F10" s="71"/>
    </row>
    <row r="11" spans="1:6" ht="18" customHeight="1" x14ac:dyDescent="0.25">
      <c r="A11" s="61"/>
      <c r="B11" s="72"/>
      <c r="C11" s="69"/>
      <c r="D11" s="70"/>
      <c r="E11" s="66"/>
      <c r="F11" s="71"/>
    </row>
    <row r="12" spans="1:6" ht="18" customHeight="1" x14ac:dyDescent="0.25">
      <c r="A12" s="61"/>
      <c r="B12" s="73" t="s">
        <v>4</v>
      </c>
      <c r="C12" s="69"/>
      <c r="D12" s="70"/>
      <c r="E12" s="66"/>
      <c r="F12" s="71"/>
    </row>
    <row r="13" spans="1:6" ht="18" customHeight="1" x14ac:dyDescent="0.25">
      <c r="A13" s="61"/>
      <c r="B13" s="72" t="s">
        <v>25</v>
      </c>
      <c r="C13" s="69"/>
      <c r="D13" s="74">
        <v>0</v>
      </c>
      <c r="E13" s="75"/>
      <c r="F13" s="71"/>
    </row>
    <row r="14" spans="1:6" ht="18" customHeight="1" x14ac:dyDescent="0.25">
      <c r="A14" s="61"/>
      <c r="B14" s="72" t="s">
        <v>26</v>
      </c>
      <c r="C14" s="69"/>
      <c r="D14" s="74">
        <f ca="1">IFERROR(__xludf.DUMMYFUNCTION("SUM(QUERY(IMPORTRANGE(""11AczYCsQ0sDyNfN8X5ruefP9YvpHQgFPRpFJZPAhMDs"",""Cash!A1:L""),""Select Col6 where Col3  matches '""&amp;$B5&amp;""' and Col9  = 'Inbound Donation' order by Col1 asc""))"),31214.73)</f>
        <v>31214.73</v>
      </c>
      <c r="E14" s="75"/>
      <c r="F14" s="71"/>
    </row>
    <row r="15" spans="1:6" ht="17" x14ac:dyDescent="0.25">
      <c r="A15" s="61"/>
      <c r="B15" s="76" t="s">
        <v>27</v>
      </c>
      <c r="C15" s="69"/>
      <c r="D15" s="74"/>
      <c r="E15" s="77">
        <f ca="1">SUM(D13:D14)</f>
        <v>31214.73</v>
      </c>
      <c r="F15" s="71"/>
    </row>
    <row r="16" spans="1:6" ht="21" customHeight="1" x14ac:dyDescent="0.25">
      <c r="A16" s="61"/>
      <c r="B16" s="72"/>
      <c r="C16" s="69"/>
      <c r="D16" s="78"/>
      <c r="E16" s="75"/>
      <c r="F16" s="71"/>
    </row>
    <row r="17" spans="1:6" ht="17" x14ac:dyDescent="0.25">
      <c r="A17" s="61"/>
      <c r="B17" s="73" t="s">
        <v>5</v>
      </c>
      <c r="C17" s="69"/>
      <c r="D17" s="78"/>
      <c r="E17" s="75"/>
      <c r="F17" s="71"/>
    </row>
    <row r="18" spans="1:6" ht="17" x14ac:dyDescent="0.25">
      <c r="A18" s="61"/>
      <c r="B18" s="72" t="s">
        <v>28</v>
      </c>
      <c r="C18" s="69"/>
      <c r="D18" s="74">
        <v>0</v>
      </c>
      <c r="E18" s="75"/>
      <c r="F18" s="71"/>
    </row>
    <row r="19" spans="1:6" ht="17" x14ac:dyDescent="0.25">
      <c r="A19" s="61"/>
      <c r="B19" s="72" t="s">
        <v>29</v>
      </c>
      <c r="C19" s="69"/>
      <c r="D19" s="74">
        <v>0</v>
      </c>
      <c r="E19" s="75"/>
      <c r="F19" s="71"/>
    </row>
    <row r="20" spans="1:6" ht="18" customHeight="1" x14ac:dyDescent="0.25">
      <c r="A20" s="61"/>
      <c r="B20" s="72" t="s">
        <v>30</v>
      </c>
      <c r="C20" s="69"/>
      <c r="D20" s="74">
        <v>0</v>
      </c>
      <c r="E20" s="75"/>
      <c r="F20" s="71"/>
    </row>
    <row r="21" spans="1:6" ht="18" customHeight="1" x14ac:dyDescent="0.25">
      <c r="A21" s="61"/>
      <c r="B21" s="72" t="s">
        <v>31</v>
      </c>
      <c r="C21" s="69"/>
      <c r="D21" s="74"/>
      <c r="E21" s="75"/>
      <c r="F21" s="71"/>
    </row>
    <row r="22" spans="1:6" ht="18" customHeight="1" x14ac:dyDescent="0.25">
      <c r="A22" s="61"/>
      <c r="B22" s="72"/>
      <c r="C22" s="69" t="s">
        <v>32</v>
      </c>
      <c r="D22" s="74">
        <f ca="1">IFERROR(__xludf.DUMMYFUNCTION("SUM(QUERY(IMPORTRANGE(""11AczYCsQ0sDyNfN8X5ruefP9YvpHQgFPRpFJZPAhMDs"",""Cash!A1:L""),""Select Col6 where Col3  matches '""&amp;$B5&amp;""' and Col9  = 'IT' order by Col1 asc""))"),-52.99)</f>
        <v>-52.99</v>
      </c>
      <c r="E22" s="75"/>
      <c r="F22" s="79"/>
    </row>
    <row r="23" spans="1:6" ht="18" customHeight="1" x14ac:dyDescent="0.25">
      <c r="A23" s="61"/>
      <c r="B23" s="72"/>
      <c r="C23" s="69" t="s">
        <v>33</v>
      </c>
      <c r="D23" s="74">
        <f ca="1">IFERROR(__xludf.DUMMYFUNCTION("SUM(QUERY(IMPORTRANGE(""11AczYCsQ0sDyNfN8X5ruefP9YvpHQgFPRpFJZPAhMDs"",""Cash!A1:L""),""Select Col6 where Col3  matches '""&amp;$B5&amp;""' and Col9  = 'Legal'""))"),0)</f>
        <v>0</v>
      </c>
      <c r="E23" s="75"/>
      <c r="F23" s="71"/>
    </row>
    <row r="24" spans="1:6" ht="18" customHeight="1" x14ac:dyDescent="0.25">
      <c r="A24" s="61"/>
      <c r="B24" s="72"/>
      <c r="C24" s="69" t="s">
        <v>34</v>
      </c>
      <c r="D24" s="74">
        <f ca="1">IFERROR(__xludf.DUMMYFUNCTION("SUM(QUERY(IMPORTRANGE(""11AczYCsQ0sDyNfN8X5ruefP9YvpHQgFPRpFJZPAhMDs"",""Cash!A1:L""),""Select Col6 where Col3  matches '""&amp;$B5&amp;""' and Col9  = 'Outbound Donation'""))"),-3297)</f>
        <v>-3297</v>
      </c>
      <c r="E24" s="75"/>
      <c r="F24" s="71"/>
    </row>
    <row r="25" spans="1:6" ht="18" customHeight="1" x14ac:dyDescent="0.25">
      <c r="A25" s="61"/>
      <c r="B25" s="76" t="s">
        <v>35</v>
      </c>
      <c r="C25" s="69"/>
      <c r="D25" s="70"/>
      <c r="E25" s="77">
        <f ca="1">SUM(D18:D25)</f>
        <v>-3349.99</v>
      </c>
      <c r="F25" s="71"/>
    </row>
    <row r="26" spans="1:6" ht="18" customHeight="1" x14ac:dyDescent="0.25">
      <c r="A26" s="61"/>
      <c r="B26" s="72"/>
      <c r="C26" s="69"/>
      <c r="D26" s="70"/>
      <c r="E26" s="66"/>
      <c r="F26" s="71"/>
    </row>
    <row r="27" spans="1:6" ht="18" customHeight="1" x14ac:dyDescent="0.25">
      <c r="A27" s="61"/>
      <c r="B27" s="73" t="s">
        <v>36</v>
      </c>
      <c r="C27" s="69"/>
      <c r="D27" s="70"/>
      <c r="E27" s="77">
        <f ca="1">E15+E25</f>
        <v>27864.739999999998</v>
      </c>
      <c r="F27" s="71"/>
    </row>
    <row r="28" spans="1:6" ht="18" customHeight="1" x14ac:dyDescent="0.25">
      <c r="A28" s="61"/>
      <c r="B28" s="72"/>
      <c r="C28" s="69"/>
      <c r="D28" s="70"/>
      <c r="E28" s="66"/>
      <c r="F28" s="71"/>
    </row>
    <row r="29" spans="1:6" ht="18" customHeight="1" x14ac:dyDescent="0.25">
      <c r="A29" s="61"/>
      <c r="B29" s="72"/>
      <c r="C29" s="69"/>
      <c r="D29" s="70"/>
      <c r="E29" s="66"/>
      <c r="F29" s="71"/>
    </row>
    <row r="30" spans="1:6" ht="18" customHeight="1" x14ac:dyDescent="0.25">
      <c r="A30" s="61"/>
      <c r="B30" s="68" t="s">
        <v>37</v>
      </c>
      <c r="C30" s="69"/>
      <c r="D30" s="70"/>
      <c r="E30" s="66"/>
      <c r="F30" s="71"/>
    </row>
    <row r="31" spans="1:6" ht="18" customHeight="1" x14ac:dyDescent="0.25">
      <c r="A31" s="61"/>
      <c r="B31" s="72"/>
      <c r="C31" s="69"/>
      <c r="D31" s="70"/>
      <c r="E31" s="66"/>
      <c r="F31" s="71"/>
    </row>
    <row r="32" spans="1:6" ht="18" customHeight="1" x14ac:dyDescent="0.25">
      <c r="A32" s="61"/>
      <c r="B32" s="73" t="s">
        <v>4</v>
      </c>
      <c r="C32" s="69"/>
      <c r="D32" s="70"/>
      <c r="E32" s="66"/>
      <c r="F32" s="71"/>
    </row>
    <row r="33" spans="1:6" ht="18" customHeight="1" x14ac:dyDescent="0.25">
      <c r="A33" s="61"/>
      <c r="B33" s="72" t="s">
        <v>38</v>
      </c>
      <c r="C33" s="69"/>
      <c r="D33" s="74"/>
      <c r="E33" s="66"/>
      <c r="F33" s="71"/>
    </row>
    <row r="34" spans="1:6" ht="18" customHeight="1" x14ac:dyDescent="0.25">
      <c r="A34" s="61"/>
      <c r="B34" s="72"/>
      <c r="C34" s="69" t="s">
        <v>39</v>
      </c>
      <c r="D34" s="74">
        <f ca="1">IFERROR(__xludf.DUMMYFUNCTION("SUM(QUERY(IMPORTRANGE(""11AczYCsQ0sDyNfN8X5ruefP9YvpHQgFPRpFJZPAhMDs"",""Cash!A1:L""),""Select Col6 where Col3 matches '""&amp;$B5&amp;""' and Col7  = 'Trade' and Col9  = 'Sell Order' order by Col1 asc""))"),0)</f>
        <v>0</v>
      </c>
      <c r="E34" s="66"/>
      <c r="F34" s="71"/>
    </row>
    <row r="35" spans="1:6" ht="18" customHeight="1" x14ac:dyDescent="0.25">
      <c r="A35" s="61"/>
      <c r="B35" s="72" t="s">
        <v>40</v>
      </c>
      <c r="C35" s="69"/>
      <c r="D35" s="74">
        <v>0</v>
      </c>
      <c r="E35" s="66"/>
      <c r="F35" s="71"/>
    </row>
    <row r="36" spans="1:6" ht="18" customHeight="1" x14ac:dyDescent="0.25">
      <c r="A36" s="61"/>
      <c r="B36" s="72" t="s">
        <v>41</v>
      </c>
      <c r="C36" s="69"/>
      <c r="D36" s="74">
        <v>0</v>
      </c>
      <c r="E36" s="66"/>
      <c r="F36" s="71"/>
    </row>
    <row r="37" spans="1:6" ht="18" customHeight="1" x14ac:dyDescent="0.25">
      <c r="A37" s="61"/>
      <c r="B37" s="76" t="s">
        <v>42</v>
      </c>
      <c r="C37" s="69"/>
      <c r="D37" s="70"/>
      <c r="E37" s="77">
        <f ca="1">SUM(D33:D36)</f>
        <v>0</v>
      </c>
      <c r="F37" s="71"/>
    </row>
    <row r="38" spans="1:6" ht="18" customHeight="1" x14ac:dyDescent="0.25">
      <c r="A38" s="61"/>
      <c r="B38" s="72"/>
      <c r="C38" s="69"/>
      <c r="D38" s="70"/>
      <c r="E38" s="66"/>
      <c r="F38" s="71"/>
    </row>
    <row r="39" spans="1:6" ht="18" customHeight="1" x14ac:dyDescent="0.25">
      <c r="A39" s="61"/>
      <c r="B39" s="73" t="s">
        <v>5</v>
      </c>
      <c r="C39" s="69"/>
      <c r="D39" s="70"/>
      <c r="E39" s="66"/>
      <c r="F39" s="71"/>
    </row>
    <row r="40" spans="1:6" ht="18" customHeight="1" x14ac:dyDescent="0.25">
      <c r="A40" s="61"/>
      <c r="B40" s="72" t="s">
        <v>43</v>
      </c>
      <c r="C40" s="69"/>
      <c r="D40" s="74">
        <f ca="1">IFERROR(__xludf.DUMMYFUNCTION("SUM(QUERY(IMPORTRANGE(""11AczYCsQ0sDyNfN8X5ruefP9YvpHQgFPRpFJZPAhMDs"",""Cash!A1:L""),""Select Col6 where Col3 matches '""&amp;$B5&amp;""' and Col7  = 'Trade' and Col9  = 'Buy Order' order by Col1 asc""))"),-20164.97)</f>
        <v>-20164.97</v>
      </c>
      <c r="E40" s="66"/>
      <c r="F40" s="71"/>
    </row>
    <row r="41" spans="1:6" ht="18" customHeight="1" x14ac:dyDescent="0.25">
      <c r="A41" s="61"/>
      <c r="B41" s="72" t="s">
        <v>44</v>
      </c>
      <c r="C41" s="69"/>
      <c r="D41" s="74">
        <v>0</v>
      </c>
      <c r="E41" s="66"/>
      <c r="F41" s="71"/>
    </row>
    <row r="42" spans="1:6" ht="18" customHeight="1" x14ac:dyDescent="0.25">
      <c r="A42" s="61"/>
      <c r="B42" s="72" t="s">
        <v>45</v>
      </c>
      <c r="C42" s="69"/>
      <c r="D42" s="74"/>
      <c r="E42" s="66"/>
      <c r="F42" s="71"/>
    </row>
    <row r="43" spans="1:6" ht="18" customHeight="1" x14ac:dyDescent="0.25">
      <c r="A43" s="61"/>
      <c r="B43" s="72"/>
      <c r="C43" s="69" t="s">
        <v>46</v>
      </c>
      <c r="D43" s="74">
        <f ca="1">IFERROR(__xludf.DUMMYFUNCTION("SUM(QUERY(IMPORTRANGE(""11AczYCsQ0sDyNfN8X5ruefP9YvpHQgFPRpFJZPAhMDs"",""Cash!A1:L""),""Select Col6 where Col3 matches '""&amp;$B5&amp;""' and Col7  = 'Trade' and Col9  = 'Order transaction fee'""))"),0)</f>
        <v>0</v>
      </c>
      <c r="E43" s="66"/>
      <c r="F43" s="71"/>
    </row>
    <row r="44" spans="1:6" ht="18" customHeight="1" x14ac:dyDescent="0.25">
      <c r="A44" s="61"/>
      <c r="B44" s="72"/>
      <c r="C44" s="69" t="s">
        <v>47</v>
      </c>
      <c r="D44" s="74">
        <f ca="1">IFERROR(__xludf.DUMMYFUNCTION("SUM(QUERY(IMPORTRANGE(""11AczYCsQ0sDyNfN8X5ruefP9YvpHQgFPRpFJZPAhMDs"",""Cash!A1:L""),""Select Col6 where Col3 matches '""&amp;$B5&amp;""' and Col7  = 'Expense' and Col9  = 'Legal-Entity-Identifier (LEI)'""))"),-70.21)</f>
        <v>-70.209999999999994</v>
      </c>
      <c r="E44" s="66"/>
      <c r="F44" s="71"/>
    </row>
    <row r="45" spans="1:6" ht="18" customHeight="1" x14ac:dyDescent="0.25">
      <c r="A45" s="61"/>
      <c r="B45" s="72" t="s">
        <v>48</v>
      </c>
      <c r="C45" s="69"/>
      <c r="D45" s="74">
        <v>0</v>
      </c>
      <c r="E45" s="66"/>
      <c r="F45" s="71"/>
    </row>
    <row r="46" spans="1:6" ht="18" customHeight="1" x14ac:dyDescent="0.25">
      <c r="A46" s="61"/>
      <c r="B46" s="72" t="s">
        <v>49</v>
      </c>
      <c r="C46" s="69"/>
      <c r="D46" s="74">
        <v>0</v>
      </c>
      <c r="E46" s="66"/>
      <c r="F46" s="71"/>
    </row>
    <row r="47" spans="1:6" ht="18" customHeight="1" x14ac:dyDescent="0.25">
      <c r="A47" s="61"/>
      <c r="B47" s="76" t="s">
        <v>35</v>
      </c>
      <c r="C47" s="69"/>
      <c r="D47" s="70"/>
      <c r="E47" s="77">
        <f ca="1">SUM(D40:D46)</f>
        <v>-20235.18</v>
      </c>
      <c r="F47" s="71"/>
    </row>
    <row r="48" spans="1:6" ht="18" customHeight="1" x14ac:dyDescent="0.25">
      <c r="A48" s="61"/>
      <c r="B48" s="72"/>
      <c r="C48" s="69"/>
      <c r="D48" s="70"/>
      <c r="E48" s="66"/>
      <c r="F48" s="71"/>
    </row>
    <row r="49" spans="1:6" ht="18" customHeight="1" x14ac:dyDescent="0.25">
      <c r="A49" s="61"/>
      <c r="B49" s="73" t="s">
        <v>50</v>
      </c>
      <c r="C49" s="69"/>
      <c r="D49" s="70"/>
      <c r="E49" s="77">
        <f ca="1">E37+E47</f>
        <v>-20235.18</v>
      </c>
      <c r="F49" s="71"/>
    </row>
    <row r="50" spans="1:6" ht="18" customHeight="1" x14ac:dyDescent="0.25">
      <c r="A50" s="61"/>
      <c r="B50" s="72"/>
      <c r="C50" s="69"/>
      <c r="D50" s="70"/>
      <c r="E50" s="66"/>
      <c r="F50" s="71"/>
    </row>
    <row r="51" spans="1:6" ht="18" customHeight="1" x14ac:dyDescent="0.25">
      <c r="A51" s="61"/>
      <c r="B51" s="72"/>
      <c r="C51" s="69"/>
      <c r="D51" s="70"/>
      <c r="E51" s="66"/>
      <c r="F51" s="71"/>
    </row>
    <row r="52" spans="1:6" ht="18" customHeight="1" x14ac:dyDescent="0.25">
      <c r="A52" s="61"/>
      <c r="B52" s="68" t="s">
        <v>51</v>
      </c>
      <c r="C52" s="69"/>
      <c r="D52" s="70"/>
      <c r="E52" s="77">
        <v>0</v>
      </c>
      <c r="F52" s="71"/>
    </row>
    <row r="53" spans="1:6" ht="18" customHeight="1" x14ac:dyDescent="0.25">
      <c r="A53" s="61"/>
      <c r="B53" s="68" t="s">
        <v>52</v>
      </c>
      <c r="C53" s="69"/>
      <c r="D53" s="70"/>
      <c r="E53" s="77">
        <v>0</v>
      </c>
      <c r="F53" s="71"/>
    </row>
    <row r="54" spans="1:6" ht="18" customHeight="1" x14ac:dyDescent="0.25">
      <c r="A54" s="61"/>
      <c r="B54" s="72"/>
      <c r="C54" s="69"/>
      <c r="D54" s="70"/>
      <c r="E54" s="66"/>
      <c r="F54" s="71"/>
    </row>
    <row r="55" spans="1:6" ht="18" customHeight="1" x14ac:dyDescent="0.25">
      <c r="A55" s="61"/>
      <c r="B55" s="72"/>
      <c r="C55" s="69"/>
      <c r="D55" s="74"/>
      <c r="E55" s="66"/>
      <c r="F55" s="71"/>
    </row>
    <row r="56" spans="1:6" ht="18" customHeight="1" x14ac:dyDescent="0.25">
      <c r="A56" s="61"/>
      <c r="B56" s="72"/>
      <c r="C56" s="69"/>
      <c r="D56" s="74"/>
      <c r="E56" s="66"/>
      <c r="F56" s="71"/>
    </row>
    <row r="57" spans="1:6" ht="18" customHeight="1" x14ac:dyDescent="0.25">
      <c r="A57" s="61"/>
      <c r="B57" s="67" t="s">
        <v>53</v>
      </c>
      <c r="C57" s="69"/>
      <c r="D57" s="74"/>
      <c r="E57" s="66"/>
      <c r="F57" s="71"/>
    </row>
    <row r="58" spans="1:6" ht="18" customHeight="1" x14ac:dyDescent="0.25">
      <c r="A58" s="61"/>
      <c r="C58" s="69"/>
      <c r="D58" s="74"/>
      <c r="E58" s="66"/>
      <c r="F58" s="71"/>
    </row>
    <row r="59" spans="1:6" ht="18" customHeight="1" x14ac:dyDescent="0.25">
      <c r="A59" s="61"/>
      <c r="B59" s="72" t="s">
        <v>54</v>
      </c>
      <c r="C59" s="69"/>
      <c r="D59" s="74">
        <v>0</v>
      </c>
      <c r="E59" s="77"/>
      <c r="F59" s="71"/>
    </row>
    <row r="60" spans="1:6" ht="18" customHeight="1" x14ac:dyDescent="0.25">
      <c r="A60" s="61"/>
      <c r="B60" s="72" t="s">
        <v>55</v>
      </c>
      <c r="C60" s="69"/>
      <c r="D60" s="80">
        <f>'Vermögenswerte (Public)'!F13</f>
        <v>11315.09</v>
      </c>
      <c r="E60" s="77"/>
      <c r="F60" s="71"/>
    </row>
    <row r="61" spans="1:6" ht="18" customHeight="1" x14ac:dyDescent="0.25">
      <c r="A61" s="61"/>
      <c r="B61" s="72" t="s">
        <v>56</v>
      </c>
      <c r="C61" s="69"/>
      <c r="D61" s="77"/>
      <c r="E61" s="77"/>
      <c r="F61" s="71"/>
    </row>
    <row r="62" spans="1:6" ht="18" customHeight="1" x14ac:dyDescent="0.25">
      <c r="A62" s="61"/>
      <c r="B62" s="76"/>
      <c r="C62" s="69" t="s">
        <v>57</v>
      </c>
      <c r="D62" s="80">
        <f>SUM('Vermögenswerte (Public)'!F11:F12)</f>
        <v>182966.66999999998</v>
      </c>
      <c r="E62" s="77"/>
      <c r="F62" s="71"/>
    </row>
    <row r="63" spans="1:6" ht="18" customHeight="1" x14ac:dyDescent="0.25">
      <c r="A63" s="61"/>
      <c r="B63" s="72" t="s">
        <v>58</v>
      </c>
      <c r="C63" s="69"/>
      <c r="D63" s="74">
        <v>0</v>
      </c>
      <c r="E63" s="77"/>
      <c r="F63" s="71"/>
    </row>
    <row r="64" spans="1:6" ht="18" customHeight="1" x14ac:dyDescent="0.25">
      <c r="A64" s="61"/>
      <c r="B64" s="76" t="s">
        <v>59</v>
      </c>
      <c r="C64" s="69"/>
      <c r="D64" s="74"/>
      <c r="E64" s="77">
        <f>SUM(D59:D63)</f>
        <v>194281.75999999998</v>
      </c>
      <c r="F64" s="71"/>
    </row>
    <row r="65" spans="1:6" ht="18" customHeight="1" x14ac:dyDescent="0.25">
      <c r="A65" s="61"/>
      <c r="B65" s="72"/>
      <c r="C65" s="69"/>
      <c r="D65" s="74"/>
      <c r="E65" s="66"/>
      <c r="F65" s="71"/>
    </row>
    <row r="66" spans="1:6" ht="18" customHeight="1" x14ac:dyDescent="0.25">
      <c r="A66" s="61"/>
      <c r="B66" s="68" t="s">
        <v>60</v>
      </c>
      <c r="C66" s="69"/>
      <c r="D66" s="74"/>
      <c r="E66" s="66"/>
      <c r="F66" s="71"/>
    </row>
    <row r="67" spans="1:6" ht="18" customHeight="1" x14ac:dyDescent="0.25">
      <c r="A67" s="61"/>
      <c r="C67" s="69"/>
      <c r="D67" s="74"/>
      <c r="E67" s="66"/>
      <c r="F67" s="71"/>
    </row>
    <row r="68" spans="1:6" ht="18" customHeight="1" x14ac:dyDescent="0.25">
      <c r="A68" s="61"/>
      <c r="B68" s="72" t="s">
        <v>61</v>
      </c>
      <c r="C68" s="69"/>
      <c r="D68" s="74">
        <v>0</v>
      </c>
      <c r="E68" s="66"/>
      <c r="F68" s="71"/>
    </row>
    <row r="69" spans="1:6" ht="18" customHeight="1" x14ac:dyDescent="0.25">
      <c r="A69" s="61"/>
      <c r="B69" s="72" t="s">
        <v>62</v>
      </c>
      <c r="C69" s="69"/>
      <c r="D69" s="74">
        <v>0</v>
      </c>
      <c r="E69" s="66"/>
      <c r="F69" s="71"/>
    </row>
    <row r="70" spans="1:6" ht="18" customHeight="1" x14ac:dyDescent="0.25">
      <c r="A70" s="61"/>
      <c r="B70" s="72" t="s">
        <v>63</v>
      </c>
      <c r="C70" s="69"/>
      <c r="D70" s="74">
        <v>0</v>
      </c>
      <c r="E70" s="77"/>
      <c r="F70" s="71"/>
    </row>
    <row r="71" spans="1:6" ht="18" customHeight="1" x14ac:dyDescent="0.25">
      <c r="A71" s="61"/>
      <c r="B71" s="76" t="s">
        <v>64</v>
      </c>
      <c r="C71" s="69"/>
      <c r="D71" s="74"/>
      <c r="E71" s="77">
        <f>SUM(D68:D70)</f>
        <v>0</v>
      </c>
      <c r="F71" s="71"/>
    </row>
    <row r="72" spans="1:6" ht="18" customHeight="1" x14ac:dyDescent="0.25">
      <c r="A72" s="61"/>
      <c r="B72" s="72"/>
      <c r="C72" s="69"/>
      <c r="D72" s="74"/>
      <c r="E72" s="66"/>
      <c r="F72" s="71"/>
    </row>
    <row r="73" spans="1:6" ht="18" customHeight="1" x14ac:dyDescent="0.25">
      <c r="A73" s="61"/>
      <c r="B73" s="72"/>
      <c r="C73" s="69"/>
      <c r="D73" s="74"/>
      <c r="E73" s="66"/>
      <c r="F73" s="71"/>
    </row>
    <row r="74" spans="1:6" ht="18" customHeight="1" x14ac:dyDescent="0.25">
      <c r="A74" s="61"/>
      <c r="B74" s="72"/>
      <c r="C74" s="69"/>
      <c r="D74" s="74"/>
      <c r="E74" s="66"/>
      <c r="F74" s="71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Julian Lindenberg</cp:lastModifiedBy>
  <dcterms:modified xsi:type="dcterms:W3CDTF">2024-04-04T10:25:02Z</dcterms:modified>
</cp:coreProperties>
</file>